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p\Documents\Consultancy\IDM\Greener Standards\"/>
    </mc:Choice>
  </mc:AlternateContent>
  <bookViews>
    <workbookView xWindow="360" yWindow="75" windowWidth="20940" windowHeight="9855"/>
  </bookViews>
  <sheets>
    <sheet name="Sheet1" sheetId="1" r:id="rId1"/>
  </sheets>
  <definedNames>
    <definedName name="_xlnm.Print_Area" localSheetId="0">Sheet1!$A:$D</definedName>
  </definedNames>
  <calcPr calcId="152511"/>
  <fileRecoveryPr repairLoad="1"/>
</workbook>
</file>

<file path=xl/calcChain.xml><?xml version="1.0" encoding="utf-8"?>
<calcChain xmlns="http://schemas.openxmlformats.org/spreadsheetml/2006/main">
  <c r="B52" i="1" l="1"/>
  <c r="D50" i="1"/>
  <c r="B50" i="1"/>
  <c r="B51" i="1" s="1"/>
  <c r="A52" i="1"/>
  <c r="A51" i="1"/>
  <c r="A50" i="1"/>
  <c r="A46" i="1"/>
  <c r="C51" i="1" s="1"/>
  <c r="D44" i="1"/>
  <c r="C45" i="1"/>
  <c r="A45" i="1"/>
  <c r="D45" i="1" s="1"/>
  <c r="A44" i="1"/>
  <c r="B102" i="1"/>
  <c r="H96" i="1"/>
  <c r="B70" i="1"/>
  <c r="H32" i="1"/>
  <c r="L32" i="1" s="1"/>
  <c r="L33" i="1" s="1"/>
  <c r="G32" i="1"/>
  <c r="K32" i="1" s="1"/>
  <c r="K33" i="1" s="1"/>
  <c r="F32" i="1"/>
  <c r="J32" i="1" s="1"/>
  <c r="J33" i="1" s="1"/>
  <c r="D46" i="1" l="1"/>
  <c r="C52" i="1"/>
  <c r="D51" i="1"/>
  <c r="C50" i="1"/>
  <c r="C46" i="1"/>
  <c r="F101" i="1"/>
  <c r="H101" i="1" s="1"/>
  <c r="F100" i="1"/>
  <c r="H100" i="1" s="1"/>
  <c r="F99" i="1"/>
  <c r="B101" i="1"/>
  <c r="B84" i="1"/>
  <c r="F74" i="1"/>
  <c r="F73" i="1"/>
  <c r="H99" i="1" l="1"/>
  <c r="B110" i="1" s="1"/>
  <c r="B104" i="1"/>
  <c r="B111" i="1" s="1"/>
  <c r="G99" i="1"/>
  <c r="G100" i="1"/>
  <c r="G101" i="1"/>
  <c r="B86" i="1"/>
  <c r="B67" i="1"/>
  <c r="B69" i="1" s="1"/>
  <c r="C56" i="1"/>
  <c r="C44" i="1"/>
  <c r="A56" i="1"/>
  <c r="B54" i="1"/>
  <c r="B53" i="1"/>
  <c r="B56" i="1" s="1"/>
  <c r="A53" i="1"/>
  <c r="B57" i="1" l="1"/>
  <c r="B106" i="1"/>
  <c r="B109" i="1" s="1"/>
  <c r="B88" i="1"/>
  <c r="B89" i="1"/>
  <c r="B87" i="1"/>
  <c r="B58" i="1"/>
  <c r="B107" i="1" l="1"/>
  <c r="B108" i="1"/>
  <c r="B27" i="1"/>
  <c r="B24" i="1"/>
  <c r="B23" i="1"/>
  <c r="B13" i="1"/>
  <c r="B7" i="1"/>
  <c r="B33" i="1" l="1"/>
  <c r="B25" i="1"/>
  <c r="B29" i="1"/>
  <c r="B31" i="1" s="1"/>
  <c r="B9" i="1"/>
  <c r="B12" i="1" s="1"/>
  <c r="B34" i="1" l="1"/>
  <c r="G35" i="1"/>
  <c r="B35" i="1"/>
  <c r="B11" i="1"/>
  <c r="B32" i="1"/>
  <c r="B30" i="1"/>
  <c r="B10" i="1"/>
</calcChain>
</file>

<file path=xl/sharedStrings.xml><?xml version="1.0" encoding="utf-8"?>
<sst xmlns="http://schemas.openxmlformats.org/spreadsheetml/2006/main" count="267" uniqueCount="151">
  <si>
    <t>Kerb Type</t>
  </si>
  <si>
    <t>Kerb length</t>
  </si>
  <si>
    <t>Concrete type</t>
  </si>
  <si>
    <t>m</t>
  </si>
  <si>
    <t>Cement</t>
  </si>
  <si>
    <t>Coarse aggregate</t>
  </si>
  <si>
    <t>Fine aggregate</t>
  </si>
  <si>
    <t>Bedding gravel</t>
  </si>
  <si>
    <t>TYPE</t>
  </si>
  <si>
    <t>AREA</t>
  </si>
  <si>
    <t>WIDTH</t>
  </si>
  <si>
    <t>B1</t>
  </si>
  <si>
    <t>B2</t>
  </si>
  <si>
    <t>B3</t>
  </si>
  <si>
    <t>SM1</t>
  </si>
  <si>
    <t>SM2</t>
  </si>
  <si>
    <t>SM2-M</t>
  </si>
  <si>
    <t>SM3</t>
  </si>
  <si>
    <t>M1</t>
  </si>
  <si>
    <t>M2</t>
  </si>
  <si>
    <t>M3</t>
  </si>
  <si>
    <t>N25</t>
  </si>
  <si>
    <t>x-section area</t>
  </si>
  <si>
    <t>note: 75mm thick, extend 150mm beyond edge</t>
  </si>
  <si>
    <t>cu.m</t>
  </si>
  <si>
    <t>sq.m</t>
  </si>
  <si>
    <t>note: typically N25</t>
  </si>
  <si>
    <t>lookup lists</t>
  </si>
  <si>
    <t>STANDARD KERBS</t>
  </si>
  <si>
    <t>Input</t>
  </si>
  <si>
    <t>Type</t>
  </si>
  <si>
    <t>FOOTPATHS</t>
  </si>
  <si>
    <t>Path length</t>
  </si>
  <si>
    <t>Exp. Joint spacing</t>
  </si>
  <si>
    <t>note: Expansion joints at 15 m max</t>
  </si>
  <si>
    <t>Pedestrian</t>
  </si>
  <si>
    <t>Shared</t>
  </si>
  <si>
    <t>note: 1500 mm or 2500 mm wide</t>
  </si>
  <si>
    <t>VALUE</t>
  </si>
  <si>
    <t>Footpath width</t>
  </si>
  <si>
    <t>Footpath depth</t>
  </si>
  <si>
    <t>Concrete volume</t>
  </si>
  <si>
    <t>Materials</t>
  </si>
  <si>
    <t>note: 50mm thick, extend 75mm beyond edges</t>
  </si>
  <si>
    <t>Bedding thickness</t>
  </si>
  <si>
    <t>note: typically 0.05 m thick</t>
  </si>
  <si>
    <t>Steel Reo.</t>
  </si>
  <si>
    <t>Thickness</t>
  </si>
  <si>
    <t>mm</t>
  </si>
  <si>
    <t>note: 125mm (residential) or 150mm (Industrial)</t>
  </si>
  <si>
    <t xml:space="preserve">no. </t>
  </si>
  <si>
    <t>note: no. of 6x2.4 sheets</t>
  </si>
  <si>
    <t>Steel mesh area</t>
  </si>
  <si>
    <t>Mesh sheet wt.</t>
  </si>
  <si>
    <t>kg</t>
  </si>
  <si>
    <t>note: 6x2.4 m sheet, 41kg for SL72</t>
  </si>
  <si>
    <t>Expansion Joints</t>
  </si>
  <si>
    <t>ROADS</t>
  </si>
  <si>
    <t>Drainage type</t>
  </si>
  <si>
    <t>Road length</t>
  </si>
  <si>
    <t>Seal type</t>
  </si>
  <si>
    <t>Shoulder width</t>
  </si>
  <si>
    <t>Total seal width</t>
  </si>
  <si>
    <t>DRAINAGE</t>
  </si>
  <si>
    <t>Kerb</t>
  </si>
  <si>
    <t>V-drain</t>
  </si>
  <si>
    <t>Asphalt</t>
  </si>
  <si>
    <t>Spray seal</t>
  </si>
  <si>
    <t>Unsealed</t>
  </si>
  <si>
    <t>Note: Total width (both sides).  If sealed shoulder, set to '0'</t>
  </si>
  <si>
    <t>thickness</t>
  </si>
  <si>
    <t>rate</t>
  </si>
  <si>
    <t>n/a</t>
  </si>
  <si>
    <t>Base thickness</t>
  </si>
  <si>
    <t>Subbase thickness</t>
  </si>
  <si>
    <t>Shoulder area</t>
  </si>
  <si>
    <t>Seal</t>
  </si>
  <si>
    <t>Carriageway</t>
  </si>
  <si>
    <t>Base</t>
  </si>
  <si>
    <t>Subbase</t>
  </si>
  <si>
    <t xml:space="preserve"> </t>
  </si>
  <si>
    <t>Note: if v-drain, SB extends 0.6m beyond seal width</t>
  </si>
  <si>
    <t>l/sq.m</t>
  </si>
  <si>
    <t>t</t>
  </si>
  <si>
    <t>note: N25 (1:2:4) (cement:sand:agg) mix</t>
  </si>
  <si>
    <t>no.</t>
  </si>
  <si>
    <t>CONCRETE PIPE</t>
  </si>
  <si>
    <t>Outer diameter</t>
  </si>
  <si>
    <t>Inner diameter</t>
  </si>
  <si>
    <t>Length</t>
  </si>
  <si>
    <t>sq.mm</t>
  </si>
  <si>
    <t>Concrete area</t>
  </si>
  <si>
    <t>Note: Total area - reo</t>
  </si>
  <si>
    <t>Steel Reo. area</t>
  </si>
  <si>
    <t>PITS</t>
  </si>
  <si>
    <t>Height of base 'BH'</t>
  </si>
  <si>
    <t>Width 'W'</t>
  </si>
  <si>
    <t>Length 'L'</t>
  </si>
  <si>
    <t>Width of base 'BW'</t>
  </si>
  <si>
    <t>Length of base 'BL'</t>
  </si>
  <si>
    <t>Wall thickness</t>
  </si>
  <si>
    <t>Typically 150 mm</t>
  </si>
  <si>
    <t>Vtop</t>
  </si>
  <si>
    <t>Vbottom</t>
  </si>
  <si>
    <t>Depth 'D'</t>
  </si>
  <si>
    <t>No. of inlet/outlets</t>
  </si>
  <si>
    <t>Total pipe area</t>
  </si>
  <si>
    <t>Pipe diameter</t>
  </si>
  <si>
    <t>Note: Total volume - pipe volume</t>
  </si>
  <si>
    <t>See Standard Drawing SD400 for diagram</t>
  </si>
  <si>
    <t>Extract from Standard Drawing SD400</t>
  </si>
  <si>
    <t>VEHICLE CROSSING</t>
  </si>
  <si>
    <t>TYPES</t>
  </si>
  <si>
    <t>SD240</t>
  </si>
  <si>
    <t>SD245</t>
  </si>
  <si>
    <t>SD250</t>
  </si>
  <si>
    <t>See relevant Standard Drawing</t>
  </si>
  <si>
    <t>3000 min</t>
  </si>
  <si>
    <t>Width @ property</t>
  </si>
  <si>
    <t>Width @ infill</t>
  </si>
  <si>
    <t>Width @ kerb</t>
  </si>
  <si>
    <t>Length @ footpath</t>
  </si>
  <si>
    <t>Note: 125 or 150 mm</t>
  </si>
  <si>
    <t>Typically infill + 1200 mm</t>
  </si>
  <si>
    <t>Typically 1500 or 2500 mm</t>
  </si>
  <si>
    <t>Varies</t>
  </si>
  <si>
    <t>Typically 750 mm</t>
  </si>
  <si>
    <t>Length @ infill</t>
  </si>
  <si>
    <t>Length @ layback</t>
  </si>
  <si>
    <t>footpath</t>
  </si>
  <si>
    <t>infill</t>
  </si>
  <si>
    <t>layback</t>
  </si>
  <si>
    <t>areas</t>
  </si>
  <si>
    <t>volumes</t>
  </si>
  <si>
    <t>3600 to 6000+ mm</t>
  </si>
  <si>
    <t>Extract from Standard drawing SD240</t>
  </si>
  <si>
    <t>volume bedding</t>
  </si>
  <si>
    <t>Note: 50 mm thick</t>
  </si>
  <si>
    <t>Steel reo.</t>
  </si>
  <si>
    <t>mm2</t>
  </si>
  <si>
    <t>note: SL72 mesh, 172sq.mm cross sectional</t>
  </si>
  <si>
    <t>Reo. type</t>
  </si>
  <si>
    <t>SL72</t>
  </si>
  <si>
    <t>mesh</t>
  </si>
  <si>
    <t>SL72 x 2</t>
  </si>
  <si>
    <t>long/cross wire x-sectional area</t>
  </si>
  <si>
    <t>Note: SL72 or SL72 x 2</t>
  </si>
  <si>
    <t>ALD</t>
  </si>
  <si>
    <t> </t>
  </si>
  <si>
    <t>Typically 1.21 (5&amp;7mm), 1.41 (10mm), 1.61 (14mm)</t>
  </si>
  <si>
    <t>Aggregate App.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</si>
</sst>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2" xfId="0" applyFill="1" applyBorder="1"/>
    <xf numFmtId="0" fontId="1" fillId="4" borderId="3" xfId="0" applyFont="1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3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0" fontId="0" fillId="4" borderId="0" xfId="0" applyFill="1" applyBorder="1" applyAlignment="1">
      <alignment horizontal="right"/>
    </xf>
    <xf numFmtId="0" fontId="0" fillId="4" borderId="5" xfId="0" applyFill="1" applyBorder="1"/>
    <xf numFmtId="0" fontId="0" fillId="4" borderId="6" xfId="0" applyFill="1" applyBorder="1"/>
    <xf numFmtId="0" fontId="1" fillId="4" borderId="9" xfId="0" applyFont="1" applyFill="1" applyBorder="1"/>
    <xf numFmtId="0" fontId="0" fillId="4" borderId="10" xfId="0" applyFill="1" applyBorder="1"/>
    <xf numFmtId="164" fontId="0" fillId="4" borderId="0" xfId="0" applyNumberFormat="1" applyFill="1" applyBorder="1"/>
    <xf numFmtId="164" fontId="0" fillId="4" borderId="2" xfId="0" applyNumberFormat="1" applyFill="1" applyBorder="1"/>
    <xf numFmtId="0" fontId="0" fillId="4" borderId="8" xfId="0" applyFill="1" applyBorder="1"/>
    <xf numFmtId="0" fontId="0" fillId="4" borderId="12" xfId="0" applyFill="1" applyBorder="1"/>
    <xf numFmtId="0" fontId="2" fillId="4" borderId="12" xfId="0" applyFont="1" applyFill="1" applyBorder="1"/>
    <xf numFmtId="0" fontId="2" fillId="4" borderId="8" xfId="0" applyFont="1" applyFill="1" applyBorder="1"/>
    <xf numFmtId="0" fontId="2" fillId="4" borderId="7" xfId="0" applyFont="1" applyFill="1" applyBorder="1"/>
    <xf numFmtId="0" fontId="0" fillId="4" borderId="0" xfId="0" applyFill="1" applyBorder="1" applyAlignment="1">
      <alignment horizontal="left"/>
    </xf>
    <xf numFmtId="49" fontId="0" fillId="0" borderId="0" xfId="0" applyNumberFormat="1"/>
    <xf numFmtId="165" fontId="0" fillId="4" borderId="2" xfId="0" applyNumberFormat="1" applyFill="1" applyBorder="1"/>
    <xf numFmtId="0" fontId="0" fillId="4" borderId="11" xfId="0" applyFill="1" applyBorder="1"/>
    <xf numFmtId="0" fontId="0" fillId="4" borderId="7" xfId="0" applyFill="1" applyBorder="1"/>
    <xf numFmtId="0" fontId="0" fillId="4" borderId="0" xfId="0" applyFill="1"/>
    <xf numFmtId="0" fontId="0" fillId="2" borderId="0" xfId="0" applyFill="1"/>
    <xf numFmtId="0" fontId="2" fillId="4" borderId="4" xfId="0" applyFont="1" applyFill="1" applyBorder="1"/>
    <xf numFmtId="1" fontId="0" fillId="4" borderId="0" xfId="0" applyNumberFormat="1" applyFill="1"/>
    <xf numFmtId="2" fontId="0" fillId="4" borderId="2" xfId="0" applyNumberFormat="1" applyFill="1" applyBorder="1"/>
    <xf numFmtId="2" fontId="0" fillId="4" borderId="10" xfId="0" applyNumberFormat="1" applyFill="1" applyBorder="1"/>
    <xf numFmtId="2" fontId="0" fillId="4" borderId="0" xfId="0" applyNumberFormat="1" applyFill="1" applyBorder="1"/>
    <xf numFmtId="0" fontId="0" fillId="4" borderId="3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2" fillId="4" borderId="11" xfId="0" applyFont="1" applyFill="1" applyBorder="1"/>
    <xf numFmtId="0" fontId="0" fillId="4" borderId="5" xfId="0" applyFill="1" applyBorder="1" applyAlignment="1">
      <alignment horizontal="left"/>
    </xf>
    <xf numFmtId="49" fontId="2" fillId="4" borderId="12" xfId="0" applyNumberFormat="1" applyFont="1" applyFill="1" applyBorder="1"/>
    <xf numFmtId="1" fontId="0" fillId="4" borderId="0" xfId="0" applyNumberFormat="1" applyFill="1" applyBorder="1"/>
    <xf numFmtId="166" fontId="0" fillId="4" borderId="0" xfId="0" applyNumberFormat="1" applyFill="1" applyBorder="1"/>
    <xf numFmtId="0" fontId="2" fillId="4" borderId="12" xfId="0" applyFont="1" applyFill="1" applyBorder="1" applyAlignment="1">
      <alignment wrapText="1"/>
    </xf>
    <xf numFmtId="0" fontId="1" fillId="6" borderId="13" xfId="0" applyFont="1" applyFill="1" applyBorder="1" applyAlignment="1"/>
    <xf numFmtId="0" fontId="1" fillId="6" borderId="14" xfId="0" applyFont="1" applyFill="1" applyBorder="1" applyAlignment="1"/>
    <xf numFmtId="0" fontId="1" fillId="6" borderId="15" xfId="0" applyFont="1" applyFill="1" applyBorder="1" applyAlignment="1"/>
    <xf numFmtId="0" fontId="1" fillId="3" borderId="1" xfId="0" applyFont="1" applyFill="1" applyBorder="1" applyAlignment="1"/>
    <xf numFmtId="0" fontId="1" fillId="5" borderId="13" xfId="0" applyFont="1" applyFill="1" applyBorder="1" applyAlignment="1"/>
    <xf numFmtId="0" fontId="1" fillId="5" borderId="14" xfId="0" applyFont="1" applyFill="1" applyBorder="1" applyAlignment="1"/>
    <xf numFmtId="0" fontId="1" fillId="5" borderId="15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70</xdr:row>
      <xdr:rowOff>162042</xdr:rowOff>
    </xdr:from>
    <xdr:to>
      <xdr:col>17</xdr:col>
      <xdr:colOff>605984</xdr:colOff>
      <xdr:row>84</xdr:row>
      <xdr:rowOff>177800</xdr:rowOff>
    </xdr:to>
    <xdr:pic>
      <xdr:nvPicPr>
        <xdr:cNvPr id="2" name="Picture 1" descr="Photos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13497042"/>
          <a:ext cx="1787084" cy="2682758"/>
        </a:xfrm>
        <a:prstGeom prst="rect">
          <a:avLst/>
        </a:prstGeom>
      </xdr:spPr>
    </xdr:pic>
    <xdr:clientData/>
  </xdr:twoCellAnchor>
  <xdr:twoCellAnchor editAs="oneCell">
    <xdr:from>
      <xdr:col>17</xdr:col>
      <xdr:colOff>578650</xdr:colOff>
      <xdr:row>71</xdr:row>
      <xdr:rowOff>6349</xdr:rowOff>
    </xdr:from>
    <xdr:to>
      <xdr:col>22</xdr:col>
      <xdr:colOff>302961</xdr:colOff>
      <xdr:row>84</xdr:row>
      <xdr:rowOff>39382</xdr:rowOff>
    </xdr:to>
    <xdr:pic>
      <xdr:nvPicPr>
        <xdr:cNvPr id="3" name="Picture 2" descr="photos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03225" y="13531849"/>
          <a:ext cx="2772311" cy="2509533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90</xdr:row>
      <xdr:rowOff>171450</xdr:rowOff>
    </xdr:from>
    <xdr:to>
      <xdr:col>25</xdr:col>
      <xdr:colOff>94479</xdr:colOff>
      <xdr:row>106</xdr:row>
      <xdr:rowOff>190117</xdr:rowOff>
    </xdr:to>
    <xdr:pic>
      <xdr:nvPicPr>
        <xdr:cNvPr id="4" name="Picture 3" descr="SD240 extract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24425" y="17316450"/>
          <a:ext cx="6171429" cy="3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abSelected="1" view="pageLayout" topLeftCell="A9" zoomScaleNormal="100" workbookViewId="0">
      <selection activeCell="V43" sqref="U43:V43"/>
    </sheetView>
  </sheetViews>
  <sheetFormatPr defaultRowHeight="15" x14ac:dyDescent="0.25"/>
  <cols>
    <col min="1" max="1" width="18.7109375" customWidth="1"/>
    <col min="2" max="2" width="10.42578125" customWidth="1"/>
    <col min="3" max="3" width="10.28515625" customWidth="1"/>
    <col min="4" max="4" width="34.140625" customWidth="1"/>
    <col min="5" max="5" width="11" hidden="1" customWidth="1"/>
    <col min="6" max="6" width="9.140625" hidden="1" customWidth="1"/>
    <col min="7" max="7" width="12.7109375" hidden="1" customWidth="1"/>
    <col min="8" max="13" width="9.140625" hidden="1" customWidth="1"/>
    <col min="14" max="15" width="0" hidden="1" customWidth="1"/>
  </cols>
  <sheetData>
    <row r="1" spans="1:7" x14ac:dyDescent="0.25">
      <c r="A1" s="43" t="s">
        <v>28</v>
      </c>
      <c r="B1" s="43"/>
      <c r="C1" s="43"/>
      <c r="D1" s="43"/>
      <c r="E1" t="s">
        <v>27</v>
      </c>
    </row>
    <row r="2" spans="1:7" x14ac:dyDescent="0.25">
      <c r="A2" s="2" t="s">
        <v>29</v>
      </c>
      <c r="B2" s="3"/>
      <c r="C2" s="3"/>
      <c r="D2" s="15"/>
      <c r="E2" t="s">
        <v>8</v>
      </c>
      <c r="F2" t="s">
        <v>9</v>
      </c>
      <c r="G2" t="s">
        <v>10</v>
      </c>
    </row>
    <row r="3" spans="1:7" x14ac:dyDescent="0.25">
      <c r="A3" s="5" t="s">
        <v>0</v>
      </c>
      <c r="B3" s="6" t="s">
        <v>15</v>
      </c>
      <c r="C3" s="3"/>
      <c r="D3" s="16"/>
      <c r="E3" t="s">
        <v>11</v>
      </c>
      <c r="F3">
        <v>4.9000000000000002E-2</v>
      </c>
      <c r="G3">
        <v>0.2</v>
      </c>
    </row>
    <row r="4" spans="1:7" x14ac:dyDescent="0.25">
      <c r="A4" s="5" t="s">
        <v>1</v>
      </c>
      <c r="B4" s="7">
        <v>2000</v>
      </c>
      <c r="C4" s="3" t="s">
        <v>3</v>
      </c>
      <c r="D4" s="16"/>
      <c r="E4" t="s">
        <v>12</v>
      </c>
      <c r="F4">
        <v>9.2999999999999999E-2</v>
      </c>
      <c r="G4">
        <v>0.45</v>
      </c>
    </row>
    <row r="5" spans="1:7" x14ac:dyDescent="0.25">
      <c r="A5" s="5" t="s">
        <v>2</v>
      </c>
      <c r="B5" s="6" t="s">
        <v>21</v>
      </c>
      <c r="C5" s="8"/>
      <c r="D5" s="17" t="s">
        <v>26</v>
      </c>
      <c r="E5" t="s">
        <v>13</v>
      </c>
      <c r="F5">
        <v>8.5000000000000006E-2</v>
      </c>
      <c r="G5">
        <v>0.45</v>
      </c>
    </row>
    <row r="6" spans="1:7" x14ac:dyDescent="0.25">
      <c r="A6" s="5"/>
      <c r="B6" s="3"/>
      <c r="C6" s="3"/>
      <c r="D6" s="16"/>
      <c r="E6" t="s">
        <v>14</v>
      </c>
      <c r="F6">
        <v>7.0000000000000007E-2</v>
      </c>
      <c r="G6">
        <v>0.3</v>
      </c>
    </row>
    <row r="7" spans="1:7" x14ac:dyDescent="0.25">
      <c r="A7" s="5" t="s">
        <v>22</v>
      </c>
      <c r="B7" s="3">
        <f>VLOOKUP(B3,E3:F12,2)</f>
        <v>0.12</v>
      </c>
      <c r="C7" s="3" t="s">
        <v>25</v>
      </c>
      <c r="D7" s="16"/>
      <c r="E7" t="s">
        <v>15</v>
      </c>
      <c r="F7">
        <v>0.12</v>
      </c>
      <c r="G7">
        <v>0.6</v>
      </c>
    </row>
    <row r="8" spans="1:7" x14ac:dyDescent="0.25">
      <c r="A8" s="11" t="s">
        <v>42</v>
      </c>
      <c r="B8" s="12"/>
      <c r="C8" s="12"/>
      <c r="D8" s="18" t="s">
        <v>84</v>
      </c>
      <c r="E8" t="s">
        <v>16</v>
      </c>
      <c r="F8">
        <v>0.11</v>
      </c>
      <c r="G8">
        <v>0.6</v>
      </c>
    </row>
    <row r="9" spans="1:7" x14ac:dyDescent="0.25">
      <c r="A9" s="5" t="s">
        <v>41</v>
      </c>
      <c r="B9" s="3">
        <f>B7*B4</f>
        <v>240</v>
      </c>
      <c r="C9" s="3" t="s">
        <v>24</v>
      </c>
      <c r="D9" s="16"/>
      <c r="E9" t="s">
        <v>17</v>
      </c>
      <c r="F9">
        <v>0.112</v>
      </c>
      <c r="G9">
        <v>0.6</v>
      </c>
    </row>
    <row r="10" spans="1:7" x14ac:dyDescent="0.25">
      <c r="A10" s="32" t="s">
        <v>4</v>
      </c>
      <c r="B10" s="13">
        <f>B9*1/7</f>
        <v>34.285714285714285</v>
      </c>
      <c r="C10" s="3" t="s">
        <v>24</v>
      </c>
      <c r="D10" s="16"/>
      <c r="E10" t="s">
        <v>18</v>
      </c>
      <c r="F10">
        <v>6.8000000000000005E-2</v>
      </c>
      <c r="G10">
        <v>0.3</v>
      </c>
    </row>
    <row r="11" spans="1:7" x14ac:dyDescent="0.25">
      <c r="A11" s="32" t="s">
        <v>5</v>
      </c>
      <c r="B11" s="13">
        <f>B9*4/7</f>
        <v>137.14285714285714</v>
      </c>
      <c r="C11" s="3" t="s">
        <v>24</v>
      </c>
      <c r="D11" s="16"/>
      <c r="E11" t="s">
        <v>19</v>
      </c>
      <c r="F11">
        <v>0.10299999999999999</v>
      </c>
      <c r="G11">
        <v>0.6</v>
      </c>
    </row>
    <row r="12" spans="1:7" x14ac:dyDescent="0.25">
      <c r="A12" s="32" t="s">
        <v>6</v>
      </c>
      <c r="B12" s="13">
        <f>B9*2/7</f>
        <v>68.571428571428569</v>
      </c>
      <c r="C12" s="3" t="s">
        <v>24</v>
      </c>
      <c r="D12" s="16"/>
      <c r="E12" t="s">
        <v>20</v>
      </c>
      <c r="F12">
        <v>9.6000000000000002E-2</v>
      </c>
      <c r="G12">
        <v>0.6</v>
      </c>
    </row>
    <row r="13" spans="1:7" x14ac:dyDescent="0.25">
      <c r="A13" s="9" t="s">
        <v>7</v>
      </c>
      <c r="B13" s="14">
        <f>(VLOOKUP(B3,E3:G12,3)+0.15)*0.075*B4</f>
        <v>112.49999999999999</v>
      </c>
      <c r="C13" s="1" t="s">
        <v>24</v>
      </c>
      <c r="D13" s="19" t="s">
        <v>23</v>
      </c>
    </row>
    <row r="15" spans="1:7" x14ac:dyDescent="0.25">
      <c r="A15" s="43" t="s">
        <v>31</v>
      </c>
      <c r="B15" s="43"/>
      <c r="C15" s="43"/>
      <c r="D15" s="43"/>
      <c r="E15" t="s">
        <v>8</v>
      </c>
      <c r="F15" t="s">
        <v>38</v>
      </c>
    </row>
    <row r="16" spans="1:7" x14ac:dyDescent="0.25">
      <c r="A16" s="11" t="s">
        <v>29</v>
      </c>
      <c r="B16" s="12"/>
      <c r="C16" s="12"/>
      <c r="D16" s="15"/>
      <c r="E16" s="21" t="s">
        <v>35</v>
      </c>
      <c r="F16">
        <v>1.5</v>
      </c>
    </row>
    <row r="17" spans="1:12" x14ac:dyDescent="0.25">
      <c r="A17" s="5" t="s">
        <v>30</v>
      </c>
      <c r="B17" s="6" t="s">
        <v>36</v>
      </c>
      <c r="C17" s="3"/>
      <c r="D17" s="17" t="s">
        <v>37</v>
      </c>
      <c r="E17" s="21" t="s">
        <v>36</v>
      </c>
      <c r="F17">
        <v>2.5</v>
      </c>
    </row>
    <row r="18" spans="1:12" x14ac:dyDescent="0.25">
      <c r="A18" s="5" t="s">
        <v>47</v>
      </c>
      <c r="B18" s="7">
        <v>125</v>
      </c>
      <c r="C18" s="3" t="s">
        <v>48</v>
      </c>
      <c r="D18" s="17" t="s">
        <v>49</v>
      </c>
      <c r="E18" s="21"/>
    </row>
    <row r="19" spans="1:12" x14ac:dyDescent="0.25">
      <c r="A19" s="5" t="s">
        <v>32</v>
      </c>
      <c r="B19" s="6">
        <v>1000</v>
      </c>
      <c r="C19" s="20" t="s">
        <v>3</v>
      </c>
      <c r="D19" s="17"/>
      <c r="E19" s="21"/>
    </row>
    <row r="20" spans="1:12" x14ac:dyDescent="0.25">
      <c r="A20" s="5" t="s">
        <v>33</v>
      </c>
      <c r="B20" s="7">
        <v>15</v>
      </c>
      <c r="C20" s="3"/>
      <c r="D20" s="17" t="s">
        <v>34</v>
      </c>
    </row>
    <row r="21" spans="1:12" x14ac:dyDescent="0.25">
      <c r="A21" s="5" t="s">
        <v>44</v>
      </c>
      <c r="B21" s="7">
        <v>0.05</v>
      </c>
      <c r="C21" s="3" t="s">
        <v>3</v>
      </c>
      <c r="D21" s="17" t="s">
        <v>45</v>
      </c>
    </row>
    <row r="22" spans="1:12" x14ac:dyDescent="0.25">
      <c r="A22" s="5"/>
      <c r="B22" s="3"/>
      <c r="C22" s="3"/>
      <c r="D22" s="17"/>
    </row>
    <row r="23" spans="1:12" x14ac:dyDescent="0.25">
      <c r="A23" s="5" t="s">
        <v>39</v>
      </c>
      <c r="B23" s="3">
        <f>VLOOKUP(B17,E16:F17,2)</f>
        <v>2.5</v>
      </c>
      <c r="C23" s="3" t="s">
        <v>3</v>
      </c>
      <c r="D23" s="16"/>
    </row>
    <row r="24" spans="1:12" x14ac:dyDescent="0.25">
      <c r="A24" s="5" t="s">
        <v>40</v>
      </c>
      <c r="B24" s="3">
        <f>B18*0.001</f>
        <v>0.125</v>
      </c>
      <c r="C24" s="3" t="s">
        <v>3</v>
      </c>
      <c r="D24" s="16"/>
    </row>
    <row r="25" spans="1:12" x14ac:dyDescent="0.25">
      <c r="A25" s="5" t="s">
        <v>52</v>
      </c>
      <c r="B25" s="3">
        <f>B23*B19</f>
        <v>2500</v>
      </c>
      <c r="C25" s="3" t="s">
        <v>25</v>
      </c>
      <c r="D25" s="17"/>
    </row>
    <row r="26" spans="1:12" x14ac:dyDescent="0.25">
      <c r="A26" s="5" t="s">
        <v>53</v>
      </c>
      <c r="B26" s="3">
        <v>41</v>
      </c>
      <c r="C26" s="3" t="s">
        <v>54</v>
      </c>
      <c r="D26" s="17" t="s">
        <v>55</v>
      </c>
    </row>
    <row r="27" spans="1:12" x14ac:dyDescent="0.25">
      <c r="A27" s="5" t="s">
        <v>56</v>
      </c>
      <c r="B27" s="13">
        <f>ROUNDUP(B19/B20,0)</f>
        <v>67</v>
      </c>
      <c r="C27" s="3" t="s">
        <v>50</v>
      </c>
      <c r="D27" s="17"/>
    </row>
    <row r="28" spans="1:12" x14ac:dyDescent="0.25">
      <c r="A28" s="11" t="s">
        <v>42</v>
      </c>
      <c r="B28" s="12"/>
      <c r="C28" s="12"/>
      <c r="D28" s="18" t="s">
        <v>84</v>
      </c>
    </row>
    <row r="29" spans="1:12" x14ac:dyDescent="0.25">
      <c r="A29" s="5" t="s">
        <v>41</v>
      </c>
      <c r="B29" s="3">
        <f>B24*B23*B19</f>
        <v>312.5</v>
      </c>
      <c r="C29" s="3" t="s">
        <v>24</v>
      </c>
      <c r="D29" s="16"/>
    </row>
    <row r="30" spans="1:12" x14ac:dyDescent="0.25">
      <c r="A30" s="32" t="s">
        <v>4</v>
      </c>
      <c r="B30" s="13">
        <f>B29*1/7</f>
        <v>44.642857142857146</v>
      </c>
      <c r="C30" s="3" t="s">
        <v>24</v>
      </c>
      <c r="D30" s="16"/>
    </row>
    <row r="31" spans="1:12" x14ac:dyDescent="0.25">
      <c r="A31" s="32" t="s">
        <v>5</v>
      </c>
      <c r="B31" s="13">
        <f>B29*4/7</f>
        <v>178.57142857142858</v>
      </c>
      <c r="C31" s="3" t="s">
        <v>24</v>
      </c>
      <c r="D31" s="16"/>
    </row>
    <row r="32" spans="1:12" x14ac:dyDescent="0.25">
      <c r="A32" s="32" t="s">
        <v>6</v>
      </c>
      <c r="B32" s="13">
        <f>B29*2/7</f>
        <v>89.285714285714292</v>
      </c>
      <c r="C32" s="3" t="s">
        <v>24</v>
      </c>
      <c r="D32" s="16"/>
      <c r="F32">
        <f>141*6*2.4*10^-6</f>
        <v>2.0303999999999999E-3</v>
      </c>
      <c r="G32">
        <f>179*6*2.4*10^-6</f>
        <v>2.5775999999999998E-3</v>
      </c>
      <c r="H32">
        <f>227*6*2.4*10^-6</f>
        <v>3.2687999999999997E-3</v>
      </c>
      <c r="J32">
        <f>F33/F32</f>
        <v>16252.955082742317</v>
      </c>
      <c r="K32">
        <f t="shared" ref="K32:L32" si="0">G33/G32</f>
        <v>15906.269397889511</v>
      </c>
      <c r="L32">
        <f t="shared" si="0"/>
        <v>15907.978463044545</v>
      </c>
    </row>
    <row r="33" spans="1:15" x14ac:dyDescent="0.25">
      <c r="A33" s="5" t="s">
        <v>7</v>
      </c>
      <c r="B33" s="13">
        <f>B19*(B23+0.15)*B21</f>
        <v>132.5</v>
      </c>
      <c r="C33" s="3" t="s">
        <v>24</v>
      </c>
      <c r="D33" s="17" t="s">
        <v>43</v>
      </c>
      <c r="F33">
        <v>33</v>
      </c>
      <c r="G33">
        <v>41</v>
      </c>
      <c r="H33">
        <v>52</v>
      </c>
      <c r="J33">
        <f>J32/2</f>
        <v>8126.4775413711586</v>
      </c>
      <c r="K33">
        <f t="shared" ref="K33:L33" si="1">K32/2</f>
        <v>7953.1346989447557</v>
      </c>
      <c r="L33">
        <f t="shared" si="1"/>
        <v>7953.9892315222723</v>
      </c>
    </row>
    <row r="34" spans="1:15" x14ac:dyDescent="0.25">
      <c r="A34" s="5" t="s">
        <v>46</v>
      </c>
      <c r="B34" s="13">
        <f>B25/(6*2.4)</f>
        <v>173.61111111111111</v>
      </c>
      <c r="C34" s="3" t="s">
        <v>50</v>
      </c>
      <c r="D34" s="17" t="s">
        <v>51</v>
      </c>
    </row>
    <row r="35" spans="1:15" x14ac:dyDescent="0.25">
      <c r="A35" s="9" t="s">
        <v>46</v>
      </c>
      <c r="B35" s="22">
        <f>B25*172*2*10^-6</f>
        <v>0.86</v>
      </c>
      <c r="C35" s="1" t="s">
        <v>24</v>
      </c>
      <c r="D35" s="19" t="s">
        <v>140</v>
      </c>
      <c r="E35">
        <v>179</v>
      </c>
      <c r="F35" t="s">
        <v>139</v>
      </c>
      <c r="G35">
        <f>E35*B25*10^-6</f>
        <v>0.44749999999999995</v>
      </c>
    </row>
    <row r="37" spans="1:15" x14ac:dyDescent="0.25">
      <c r="A37" s="44" t="s">
        <v>57</v>
      </c>
      <c r="B37" s="45"/>
      <c r="C37" s="45"/>
      <c r="D37" s="46"/>
    </row>
    <row r="38" spans="1:15" x14ac:dyDescent="0.25">
      <c r="A38" s="11" t="s">
        <v>29</v>
      </c>
      <c r="B38" s="12"/>
      <c r="C38" s="23"/>
      <c r="D38" s="15"/>
      <c r="E38" t="s">
        <v>63</v>
      </c>
      <c r="F38" t="s">
        <v>60</v>
      </c>
    </row>
    <row r="39" spans="1:15" x14ac:dyDescent="0.25">
      <c r="A39" s="5" t="s">
        <v>60</v>
      </c>
      <c r="B39" s="6" t="s">
        <v>66</v>
      </c>
      <c r="C39" s="4"/>
      <c r="D39" s="16"/>
      <c r="E39" t="s">
        <v>64</v>
      </c>
      <c r="F39" t="s">
        <v>66</v>
      </c>
      <c r="G39" t="s">
        <v>66</v>
      </c>
      <c r="H39" t="s">
        <v>70</v>
      </c>
      <c r="I39" t="s">
        <v>48</v>
      </c>
      <c r="J39" t="s">
        <v>66</v>
      </c>
      <c r="K39" t="s">
        <v>24</v>
      </c>
      <c r="L39" t="s">
        <v>72</v>
      </c>
      <c r="M39" s="21" t="s">
        <v>148</v>
      </c>
      <c r="N39" s="21" t="s">
        <v>148</v>
      </c>
      <c r="O39" t="s">
        <v>72</v>
      </c>
    </row>
    <row r="40" spans="1:15" x14ac:dyDescent="0.25">
      <c r="A40" s="5" t="s">
        <v>58</v>
      </c>
      <c r="B40" s="6" t="s">
        <v>64</v>
      </c>
      <c r="C40" s="4"/>
      <c r="D40" s="16"/>
      <c r="E40" t="s">
        <v>65</v>
      </c>
      <c r="F40" t="s">
        <v>67</v>
      </c>
      <c r="G40" t="s">
        <v>67</v>
      </c>
      <c r="H40" t="s">
        <v>71</v>
      </c>
      <c r="I40" t="s">
        <v>82</v>
      </c>
      <c r="J40" t="s">
        <v>76</v>
      </c>
      <c r="K40" t="s">
        <v>83</v>
      </c>
      <c r="L40" t="s">
        <v>147</v>
      </c>
      <c r="M40" t="s">
        <v>48</v>
      </c>
      <c r="N40" s="36" t="s">
        <v>149</v>
      </c>
      <c r="O40" s="5" t="s">
        <v>150</v>
      </c>
    </row>
    <row r="41" spans="1:15" x14ac:dyDescent="0.25">
      <c r="A41" s="5" t="s">
        <v>59</v>
      </c>
      <c r="B41" s="6">
        <v>1000</v>
      </c>
      <c r="C41" s="4" t="s">
        <v>3</v>
      </c>
      <c r="D41" s="16"/>
      <c r="F41" t="s">
        <v>68</v>
      </c>
      <c r="G41" t="s">
        <v>72</v>
      </c>
      <c r="I41" t="s">
        <v>80</v>
      </c>
      <c r="J41" t="s">
        <v>77</v>
      </c>
      <c r="K41" t="s">
        <v>80</v>
      </c>
      <c r="L41" t="s">
        <v>72</v>
      </c>
      <c r="M41" t="s">
        <v>148</v>
      </c>
      <c r="N41" s="21" t="s">
        <v>148</v>
      </c>
      <c r="O41" t="s">
        <v>72</v>
      </c>
    </row>
    <row r="42" spans="1:15" x14ac:dyDescent="0.25">
      <c r="A42" s="5" t="s">
        <v>62</v>
      </c>
      <c r="B42" s="6">
        <v>6</v>
      </c>
      <c r="C42" s="4" t="s">
        <v>3</v>
      </c>
      <c r="D42" s="16"/>
    </row>
    <row r="43" spans="1:15" x14ac:dyDescent="0.25">
      <c r="A43" s="5" t="s">
        <v>61</v>
      </c>
      <c r="B43" s="6">
        <v>0</v>
      </c>
      <c r="C43" s="4" t="s">
        <v>3</v>
      </c>
      <c r="D43" s="17" t="s">
        <v>69</v>
      </c>
    </row>
    <row r="44" spans="1:15" x14ac:dyDescent="0.25">
      <c r="A44" s="5" t="str">
        <f>VLOOKUP(B39,F39:H41,2)&amp;" "&amp;VLOOKUP(B39,F39:H41,3)</f>
        <v>Asphalt thickness</v>
      </c>
      <c r="B44" s="6">
        <v>40</v>
      </c>
      <c r="C44" s="4" t="str">
        <f>VLOOKUP(B39,F39:I41,4)</f>
        <v>mm</v>
      </c>
      <c r="D44" s="17" t="str">
        <f>VLOOKUP(B39,F39:N41,9)</f>
        <v> </v>
      </c>
    </row>
    <row r="45" spans="1:15" x14ac:dyDescent="0.25">
      <c r="A45" s="5" t="str">
        <f>VLOOKUP(B39,F39:N41,7)</f>
        <v>n/a</v>
      </c>
      <c r="B45" s="6"/>
      <c r="C45" s="4" t="str">
        <f>VLOOKUP(B39,F39:M41,8)</f>
        <v> </v>
      </c>
      <c r="D45" s="39" t="str">
        <f>IF(A45="n/a","","Average Least Dimension: varies. If not available, adopt 10(14mm), 7(10mm), 5(7mm)")</f>
        <v/>
      </c>
    </row>
    <row r="46" spans="1:15" x14ac:dyDescent="0.25">
      <c r="A46" s="5" t="str">
        <f>VLOOKUP(B39,F39:O41,10)</f>
        <v>n/a</v>
      </c>
      <c r="B46" s="6"/>
      <c r="C46" s="27" t="str">
        <f>IF(A46="Aggregate App. Rate", "/ALD sq.m/cu.m","")</f>
        <v/>
      </c>
      <c r="D46" s="17" t="str">
        <f>IF(A45="n/a","","900 for &gt;200v/l/d or 850 for &lt;200v/l/d")</f>
        <v/>
      </c>
    </row>
    <row r="47" spans="1:15" x14ac:dyDescent="0.25">
      <c r="A47" s="5" t="s">
        <v>73</v>
      </c>
      <c r="B47" s="6">
        <v>150</v>
      </c>
      <c r="C47" s="4" t="s">
        <v>48</v>
      </c>
      <c r="D47" s="16"/>
    </row>
    <row r="48" spans="1:15" x14ac:dyDescent="0.25">
      <c r="A48" s="5" t="s">
        <v>74</v>
      </c>
      <c r="B48" s="6">
        <v>200</v>
      </c>
      <c r="C48" s="4" t="s">
        <v>48</v>
      </c>
      <c r="D48" s="16"/>
      <c r="G48">
        <v>1.6</v>
      </c>
      <c r="H48" t="s">
        <v>80</v>
      </c>
    </row>
    <row r="49" spans="1:7" x14ac:dyDescent="0.25">
      <c r="A49" s="5"/>
      <c r="B49" s="3"/>
      <c r="C49" s="4"/>
      <c r="D49" s="16"/>
      <c r="G49">
        <v>90</v>
      </c>
    </row>
    <row r="50" spans="1:7" x14ac:dyDescent="0.25">
      <c r="A50" s="5" t="str">
        <f>VLOOKUP(B39,F39:O41,10)</f>
        <v>n/a</v>
      </c>
      <c r="B50" s="37" t="str">
        <f>IF(B39="Spray seal", B46/B45, "")</f>
        <v/>
      </c>
      <c r="C50" s="4" t="str">
        <f>IF(A46="Aggregate App. Rate", "sq.m/cu.m","")</f>
        <v/>
      </c>
      <c r="D50" s="17" t="str">
        <f>IF(B39="Spray seal","AAR/ALD", "")</f>
        <v/>
      </c>
      <c r="G50">
        <v>1.7999999999999999E-2</v>
      </c>
    </row>
    <row r="51" spans="1:7" x14ac:dyDescent="0.25">
      <c r="A51" s="5" t="str">
        <f>IF(B39="Spray seal", "Stone quantity","n/a")</f>
        <v>n/a</v>
      </c>
      <c r="B51" s="38" t="str">
        <f>IF(B39="Spray seal",1.6/B50,"")</f>
        <v/>
      </c>
      <c r="C51" s="4" t="str">
        <f>IF(A46="Aggregate App. Rate", "t/sq.m","")</f>
        <v/>
      </c>
      <c r="D51" s="17" t="str">
        <f>IF(A46="Aggregate App. Rate", "Assume density of 1.6 t/cu.m","")</f>
        <v/>
      </c>
    </row>
    <row r="52" spans="1:7" x14ac:dyDescent="0.25">
      <c r="A52" s="5" t="str">
        <f>IF(B39="Spray seal", "Bitumen quantity","n/a")</f>
        <v>n/a</v>
      </c>
      <c r="B52" s="37" t="str">
        <f>IF(B39="Spray seal",B44*B53,"")</f>
        <v/>
      </c>
      <c r="C52" s="4" t="str">
        <f>IF(A46="Aggregate App. Rate", "l","")</f>
        <v/>
      </c>
      <c r="D52" s="17"/>
    </row>
    <row r="53" spans="1:7" x14ac:dyDescent="0.25">
      <c r="A53" s="5" t="str">
        <f>VLOOKUP(B39,F39:J41,5)&amp;" "&amp;"area"</f>
        <v>Asphalt area</v>
      </c>
      <c r="B53" s="3">
        <f>B42*B41</f>
        <v>6000</v>
      </c>
      <c r="C53" s="4" t="s">
        <v>25</v>
      </c>
      <c r="D53" s="16"/>
    </row>
    <row r="54" spans="1:7" x14ac:dyDescent="0.25">
      <c r="A54" s="9" t="s">
        <v>75</v>
      </c>
      <c r="B54" s="1">
        <f>B43*B41</f>
        <v>0</v>
      </c>
      <c r="C54" s="10" t="s">
        <v>25</v>
      </c>
      <c r="D54" s="24"/>
    </row>
    <row r="55" spans="1:7" x14ac:dyDescent="0.25">
      <c r="A55" s="11" t="s">
        <v>42</v>
      </c>
      <c r="B55" s="12"/>
      <c r="C55" s="12"/>
      <c r="D55" s="15"/>
    </row>
    <row r="56" spans="1:7" x14ac:dyDescent="0.25">
      <c r="A56" s="5" t="str">
        <f>VLOOKUP(B39,F39:H41,2)</f>
        <v>Asphalt</v>
      </c>
      <c r="B56" s="13">
        <f>IF(B39="Asphalt",B53*B44/1000,IF(B39="Spray seal",B51*B53+B52*1050/10^6,""))</f>
        <v>240</v>
      </c>
      <c r="C56" s="3" t="str">
        <f>VLOOKUP(B39,F39:K41,6)</f>
        <v>cu.m</v>
      </c>
      <c r="D56" s="16"/>
    </row>
    <row r="57" spans="1:7" x14ac:dyDescent="0.25">
      <c r="A57" s="5" t="s">
        <v>78</v>
      </c>
      <c r="B57" s="3">
        <f>(B53+B54)*(B47/1000)</f>
        <v>900</v>
      </c>
      <c r="C57" s="3" t="s">
        <v>24</v>
      </c>
      <c r="D57" s="16"/>
    </row>
    <row r="58" spans="1:7" x14ac:dyDescent="0.25">
      <c r="A58" s="9" t="s">
        <v>79</v>
      </c>
      <c r="B58" s="1">
        <f>IF(B40="Kerb",(B53+B54)*(B48/1000),(B53+1.2*B41)*B48/1000)</f>
        <v>1200</v>
      </c>
      <c r="C58" s="1" t="s">
        <v>24</v>
      </c>
      <c r="D58" s="19" t="s">
        <v>81</v>
      </c>
    </row>
    <row r="60" spans="1:7" x14ac:dyDescent="0.25">
      <c r="A60" s="44" t="s">
        <v>86</v>
      </c>
      <c r="B60" s="45"/>
      <c r="C60" s="45"/>
      <c r="D60" s="46"/>
    </row>
    <row r="61" spans="1:7" x14ac:dyDescent="0.25">
      <c r="A61" s="11" t="s">
        <v>29</v>
      </c>
      <c r="B61" s="12"/>
      <c r="C61" s="23"/>
      <c r="D61" s="23"/>
    </row>
    <row r="62" spans="1:7" x14ac:dyDescent="0.25">
      <c r="A62" s="25" t="s">
        <v>87</v>
      </c>
      <c r="B62" s="26">
        <v>1000</v>
      </c>
      <c r="C62" s="4" t="s">
        <v>48</v>
      </c>
      <c r="D62" s="4"/>
    </row>
    <row r="63" spans="1:7" x14ac:dyDescent="0.25">
      <c r="A63" s="25" t="s">
        <v>88</v>
      </c>
      <c r="B63" s="26">
        <v>900</v>
      </c>
      <c r="C63" s="4" t="s">
        <v>48</v>
      </c>
      <c r="D63" s="4"/>
    </row>
    <row r="64" spans="1:7" x14ac:dyDescent="0.25">
      <c r="A64" s="25" t="s">
        <v>89</v>
      </c>
      <c r="B64" s="26">
        <v>100</v>
      </c>
      <c r="C64" s="4" t="s">
        <v>3</v>
      </c>
      <c r="D64" s="4"/>
    </row>
    <row r="65" spans="1:6" x14ac:dyDescent="0.25">
      <c r="A65" s="25" t="s">
        <v>93</v>
      </c>
      <c r="B65" s="26">
        <v>0</v>
      </c>
      <c r="C65" s="4" t="s">
        <v>90</v>
      </c>
      <c r="D65" s="4"/>
    </row>
    <row r="66" spans="1:6" x14ac:dyDescent="0.25">
      <c r="A66" s="25"/>
      <c r="B66" s="25"/>
      <c r="C66" s="4"/>
      <c r="D66" s="4"/>
    </row>
    <row r="67" spans="1:6" x14ac:dyDescent="0.25">
      <c r="A67" s="25" t="s">
        <v>91</v>
      </c>
      <c r="B67" s="28">
        <f>(PI()*(B62)^2/4-PI()*(B63)^2/4)-B65</f>
        <v>149225.6510455152</v>
      </c>
      <c r="C67" s="25" t="s">
        <v>90</v>
      </c>
      <c r="D67" s="19" t="s">
        <v>92</v>
      </c>
    </row>
    <row r="68" spans="1:6" x14ac:dyDescent="0.25">
      <c r="A68" s="11" t="s">
        <v>42</v>
      </c>
      <c r="B68" s="12"/>
      <c r="C68" s="12"/>
      <c r="D68" s="15"/>
    </row>
    <row r="69" spans="1:6" x14ac:dyDescent="0.25">
      <c r="A69" s="5" t="s">
        <v>41</v>
      </c>
      <c r="B69" s="13">
        <f>B67/10^6*B64</f>
        <v>14.922565104551518</v>
      </c>
      <c r="C69" s="3" t="s">
        <v>24</v>
      </c>
      <c r="D69" s="16"/>
    </row>
    <row r="70" spans="1:6" x14ac:dyDescent="0.25">
      <c r="A70" s="9" t="s">
        <v>46</v>
      </c>
      <c r="B70" s="14">
        <f>B65/10^6*B64</f>
        <v>0</v>
      </c>
      <c r="C70" s="1" t="s">
        <v>24</v>
      </c>
      <c r="D70" s="24"/>
    </row>
    <row r="72" spans="1:6" x14ac:dyDescent="0.25">
      <c r="A72" s="40" t="s">
        <v>94</v>
      </c>
      <c r="B72" s="41"/>
      <c r="C72" s="41"/>
      <c r="D72" s="42"/>
    </row>
    <row r="73" spans="1:6" x14ac:dyDescent="0.25">
      <c r="A73" s="11" t="s">
        <v>29</v>
      </c>
      <c r="B73" s="12"/>
      <c r="C73" s="23"/>
      <c r="D73" s="18"/>
      <c r="E73" t="s">
        <v>102</v>
      </c>
      <c r="F73">
        <f>(B76*B80*2+(B77+2*B80)*B80*2)*(B74-B75)*10^-9</f>
        <v>0.54</v>
      </c>
    </row>
    <row r="74" spans="1:6" x14ac:dyDescent="0.25">
      <c r="A74" s="5" t="s">
        <v>104</v>
      </c>
      <c r="B74" s="7">
        <v>2000</v>
      </c>
      <c r="C74" s="4" t="s">
        <v>48</v>
      </c>
      <c r="D74" s="17" t="s">
        <v>109</v>
      </c>
      <c r="E74" t="s">
        <v>103</v>
      </c>
      <c r="F74">
        <f>((B78*B80*2+(B79+2*B80)*B80*2)*B75+((B79+2*B80)*(B78+2*B80)*B80*2)-(B77+2*B80)*(B76+2*B80)*B80)*10^-9</f>
        <v>1.173</v>
      </c>
    </row>
    <row r="75" spans="1:6" x14ac:dyDescent="0.25">
      <c r="A75" s="5" t="s">
        <v>95</v>
      </c>
      <c r="B75" s="7">
        <v>1000</v>
      </c>
      <c r="C75" s="4" t="s">
        <v>48</v>
      </c>
      <c r="D75" s="17"/>
    </row>
    <row r="76" spans="1:6" x14ac:dyDescent="0.25">
      <c r="A76" s="5" t="s">
        <v>96</v>
      </c>
      <c r="B76" s="7">
        <v>600</v>
      </c>
      <c r="C76" s="4" t="s">
        <v>48</v>
      </c>
      <c r="D76" s="17"/>
    </row>
    <row r="77" spans="1:6" x14ac:dyDescent="0.25">
      <c r="A77" s="5" t="s">
        <v>97</v>
      </c>
      <c r="B77" s="7">
        <v>900</v>
      </c>
      <c r="C77" s="4" t="s">
        <v>48</v>
      </c>
      <c r="D77" s="17"/>
    </row>
    <row r="78" spans="1:6" x14ac:dyDescent="0.25">
      <c r="A78" s="5" t="s">
        <v>98</v>
      </c>
      <c r="B78" s="7">
        <v>1000</v>
      </c>
      <c r="C78" s="4" t="s">
        <v>48</v>
      </c>
      <c r="D78" s="17"/>
    </row>
    <row r="79" spans="1:6" x14ac:dyDescent="0.25">
      <c r="A79" s="5" t="s">
        <v>99</v>
      </c>
      <c r="B79" s="7">
        <v>1200</v>
      </c>
      <c r="C79" s="4" t="s">
        <v>48</v>
      </c>
      <c r="D79" s="17"/>
    </row>
    <row r="80" spans="1:6" x14ac:dyDescent="0.25">
      <c r="A80" s="5" t="s">
        <v>100</v>
      </c>
      <c r="B80" s="7">
        <v>150</v>
      </c>
      <c r="C80" s="4" t="s">
        <v>48</v>
      </c>
      <c r="D80" s="17" t="s">
        <v>101</v>
      </c>
    </row>
    <row r="81" spans="1:14" x14ac:dyDescent="0.25">
      <c r="A81" s="5" t="s">
        <v>107</v>
      </c>
      <c r="B81" s="7">
        <v>900</v>
      </c>
      <c r="C81" s="4" t="s">
        <v>48</v>
      </c>
      <c r="D81" s="17"/>
    </row>
    <row r="82" spans="1:14" x14ac:dyDescent="0.25">
      <c r="A82" s="5" t="s">
        <v>105</v>
      </c>
      <c r="B82" s="7">
        <v>3</v>
      </c>
      <c r="C82" s="4" t="s">
        <v>85</v>
      </c>
      <c r="D82" s="17"/>
    </row>
    <row r="83" spans="1:14" x14ac:dyDescent="0.25">
      <c r="A83" s="5"/>
      <c r="B83" s="3"/>
      <c r="C83" s="4"/>
      <c r="D83" s="17"/>
    </row>
    <row r="84" spans="1:14" x14ac:dyDescent="0.25">
      <c r="A84" s="9" t="s">
        <v>106</v>
      </c>
      <c r="B84" s="29">
        <f>B82*PI()*B81^2/4*10^-6</f>
        <v>1.9085175370557992</v>
      </c>
      <c r="C84" s="10" t="s">
        <v>25</v>
      </c>
      <c r="D84" s="19"/>
    </row>
    <row r="85" spans="1:14" x14ac:dyDescent="0.25">
      <c r="A85" s="11" t="s">
        <v>42</v>
      </c>
      <c r="B85" s="30"/>
      <c r="C85" s="23"/>
      <c r="D85" s="18" t="s">
        <v>84</v>
      </c>
    </row>
    <row r="86" spans="1:14" x14ac:dyDescent="0.25">
      <c r="A86" s="5" t="s">
        <v>41</v>
      </c>
      <c r="B86" s="31">
        <f>F73+F74-(B84*B80/1000)</f>
        <v>1.4267223694416302</v>
      </c>
      <c r="C86" s="4" t="s">
        <v>24</v>
      </c>
      <c r="D86" s="17" t="s">
        <v>108</v>
      </c>
    </row>
    <row r="87" spans="1:14" x14ac:dyDescent="0.25">
      <c r="A87" s="32" t="s">
        <v>4</v>
      </c>
      <c r="B87" s="13">
        <f>B86*1/7</f>
        <v>0.20381748134880431</v>
      </c>
      <c r="C87" s="3" t="s">
        <v>24</v>
      </c>
      <c r="D87" s="16"/>
      <c r="N87" t="s">
        <v>110</v>
      </c>
    </row>
    <row r="88" spans="1:14" x14ac:dyDescent="0.25">
      <c r="A88" s="32" t="s">
        <v>5</v>
      </c>
      <c r="B88" s="13">
        <f>B86*4/7</f>
        <v>0.81526992539521725</v>
      </c>
      <c r="C88" s="3" t="s">
        <v>24</v>
      </c>
      <c r="D88" s="16"/>
    </row>
    <row r="89" spans="1:14" x14ac:dyDescent="0.25">
      <c r="A89" s="33" t="s">
        <v>6</v>
      </c>
      <c r="B89" s="14">
        <f>B86*2/7</f>
        <v>0.40763496269760863</v>
      </c>
      <c r="C89" s="1" t="s">
        <v>24</v>
      </c>
      <c r="D89" s="24"/>
    </row>
    <row r="92" spans="1:14" x14ac:dyDescent="0.25">
      <c r="A92" s="40" t="s">
        <v>111</v>
      </c>
      <c r="B92" s="41"/>
      <c r="C92" s="41"/>
      <c r="D92" s="42"/>
    </row>
    <row r="93" spans="1:14" x14ac:dyDescent="0.25">
      <c r="A93" s="11" t="s">
        <v>29</v>
      </c>
      <c r="B93" s="12"/>
      <c r="C93" s="23"/>
      <c r="D93" s="18" t="s">
        <v>116</v>
      </c>
      <c r="E93" t="s">
        <v>112</v>
      </c>
      <c r="F93" s="3" t="s">
        <v>70</v>
      </c>
      <c r="G93" t="s">
        <v>143</v>
      </c>
      <c r="H93" s="3" t="s">
        <v>145</v>
      </c>
    </row>
    <row r="94" spans="1:14" x14ac:dyDescent="0.25">
      <c r="A94" s="5" t="s">
        <v>30</v>
      </c>
      <c r="B94" s="7" t="s">
        <v>113</v>
      </c>
      <c r="C94" s="4"/>
      <c r="D94" s="17"/>
      <c r="E94" t="s">
        <v>113</v>
      </c>
      <c r="F94">
        <v>125</v>
      </c>
      <c r="G94" t="s">
        <v>142</v>
      </c>
      <c r="H94">
        <v>179</v>
      </c>
    </row>
    <row r="95" spans="1:14" x14ac:dyDescent="0.25">
      <c r="A95" s="5" t="s">
        <v>118</v>
      </c>
      <c r="B95" s="7">
        <v>3000</v>
      </c>
      <c r="C95" s="4" t="s">
        <v>48</v>
      </c>
      <c r="D95" s="17" t="s">
        <v>117</v>
      </c>
      <c r="E95" t="s">
        <v>114</v>
      </c>
      <c r="F95">
        <v>125</v>
      </c>
      <c r="G95" t="s">
        <v>142</v>
      </c>
      <c r="H95">
        <v>179</v>
      </c>
    </row>
    <row r="96" spans="1:14" x14ac:dyDescent="0.25">
      <c r="A96" s="5" t="s">
        <v>119</v>
      </c>
      <c r="B96" s="7">
        <v>3600</v>
      </c>
      <c r="C96" s="4" t="s">
        <v>48</v>
      </c>
      <c r="D96" s="17" t="s">
        <v>134</v>
      </c>
      <c r="E96" t="s">
        <v>115</v>
      </c>
      <c r="F96">
        <v>150</v>
      </c>
      <c r="G96" t="s">
        <v>144</v>
      </c>
      <c r="H96">
        <f>179*2</f>
        <v>358</v>
      </c>
    </row>
    <row r="97" spans="1:14" x14ac:dyDescent="0.25">
      <c r="A97" s="5" t="s">
        <v>120</v>
      </c>
      <c r="B97" s="7">
        <v>4800</v>
      </c>
      <c r="C97" s="4" t="s">
        <v>48</v>
      </c>
      <c r="D97" s="17" t="s">
        <v>123</v>
      </c>
    </row>
    <row r="98" spans="1:14" x14ac:dyDescent="0.25">
      <c r="A98" s="5" t="s">
        <v>121</v>
      </c>
      <c r="B98" s="7">
        <v>1500</v>
      </c>
      <c r="C98" s="4" t="s">
        <v>48</v>
      </c>
      <c r="D98" s="17" t="s">
        <v>124</v>
      </c>
      <c r="F98" t="s">
        <v>132</v>
      </c>
      <c r="G98" t="s">
        <v>133</v>
      </c>
      <c r="H98" t="s">
        <v>136</v>
      </c>
    </row>
    <row r="99" spans="1:14" x14ac:dyDescent="0.25">
      <c r="A99" s="5" t="s">
        <v>127</v>
      </c>
      <c r="B99" s="7">
        <v>2000</v>
      </c>
      <c r="C99" s="4" t="s">
        <v>48</v>
      </c>
      <c r="D99" s="17" t="s">
        <v>125</v>
      </c>
      <c r="E99" t="s">
        <v>129</v>
      </c>
      <c r="F99">
        <f>B95*B98*10^-6</f>
        <v>4.5</v>
      </c>
      <c r="G99">
        <f>F99*$B$101*10^-3</f>
        <v>0.5625</v>
      </c>
      <c r="H99">
        <f>F99*0.05</f>
        <v>0.22500000000000001</v>
      </c>
    </row>
    <row r="100" spans="1:14" x14ac:dyDescent="0.25">
      <c r="A100" s="5" t="s">
        <v>128</v>
      </c>
      <c r="B100" s="7">
        <v>750</v>
      </c>
      <c r="C100" s="4" t="s">
        <v>48</v>
      </c>
      <c r="D100" s="17" t="s">
        <v>126</v>
      </c>
      <c r="E100" t="s">
        <v>130</v>
      </c>
      <c r="F100">
        <f>(B95+(B96-B95)/2)*B99*10^-6</f>
        <v>6.6</v>
      </c>
      <c r="G100">
        <f>F100*$B$101*10^-3</f>
        <v>0.82500000000000007</v>
      </c>
      <c r="H100">
        <f t="shared" ref="H100:H101" si="2">F100*0.05</f>
        <v>0.33</v>
      </c>
    </row>
    <row r="101" spans="1:14" x14ac:dyDescent="0.25">
      <c r="A101" s="5" t="s">
        <v>47</v>
      </c>
      <c r="B101" s="7">
        <f>VLOOKUP(B94,E94:F96,2)</f>
        <v>125</v>
      </c>
      <c r="C101" s="4" t="s">
        <v>48</v>
      </c>
      <c r="D101" s="17" t="s">
        <v>122</v>
      </c>
      <c r="E101" t="s">
        <v>131</v>
      </c>
      <c r="F101">
        <f>(B96+(B97-B96)/2)*B100*10^-6</f>
        <v>3.15</v>
      </c>
      <c r="G101">
        <f>F101*$B$101*10^-3</f>
        <v>0.39374999999999999</v>
      </c>
      <c r="H101">
        <f t="shared" si="2"/>
        <v>0.1575</v>
      </c>
    </row>
    <row r="102" spans="1:14" x14ac:dyDescent="0.25">
      <c r="A102" s="5" t="s">
        <v>141</v>
      </c>
      <c r="B102" s="3" t="str">
        <f>VLOOKUP(B94,E94:H96,3)</f>
        <v>SL72</v>
      </c>
      <c r="C102" s="4"/>
      <c r="D102" s="17" t="s">
        <v>146</v>
      </c>
    </row>
    <row r="103" spans="1:14" x14ac:dyDescent="0.25">
      <c r="A103" s="25"/>
      <c r="B103" s="25"/>
      <c r="C103" s="25"/>
      <c r="D103" s="17"/>
    </row>
    <row r="104" spans="1:14" x14ac:dyDescent="0.25">
      <c r="A104" s="5" t="s">
        <v>52</v>
      </c>
      <c r="B104" s="3">
        <f>SUM(F99:F101)</f>
        <v>14.25</v>
      </c>
      <c r="C104" s="4" t="s">
        <v>25</v>
      </c>
      <c r="D104" s="19"/>
    </row>
    <row r="105" spans="1:14" x14ac:dyDescent="0.25">
      <c r="A105" s="11" t="s">
        <v>42</v>
      </c>
      <c r="B105" s="12"/>
      <c r="C105" s="23"/>
      <c r="D105" s="34" t="s">
        <v>84</v>
      </c>
    </row>
    <row r="106" spans="1:14" x14ac:dyDescent="0.25">
      <c r="A106" s="5" t="s">
        <v>41</v>
      </c>
      <c r="B106" s="31">
        <f>SUM(G99:G101)</f>
        <v>1.7812500000000002</v>
      </c>
      <c r="C106" s="4" t="s">
        <v>24</v>
      </c>
      <c r="D106" s="27"/>
    </row>
    <row r="107" spans="1:14" x14ac:dyDescent="0.25">
      <c r="A107" s="32" t="s">
        <v>4</v>
      </c>
      <c r="B107" s="13">
        <f>B106*1/7</f>
        <v>0.25446428571428575</v>
      </c>
      <c r="C107" s="4" t="s">
        <v>24</v>
      </c>
      <c r="D107" s="27"/>
    </row>
    <row r="108" spans="1:14" x14ac:dyDescent="0.25">
      <c r="A108" s="32" t="s">
        <v>5</v>
      </c>
      <c r="B108" s="13">
        <f>B106*4/7</f>
        <v>1.017857142857143</v>
      </c>
      <c r="C108" s="4" t="s">
        <v>24</v>
      </c>
      <c r="D108" s="27"/>
      <c r="N108" t="s">
        <v>135</v>
      </c>
    </row>
    <row r="109" spans="1:14" x14ac:dyDescent="0.25">
      <c r="A109" s="32" t="s">
        <v>6</v>
      </c>
      <c r="B109" s="13">
        <f>B106*2/7</f>
        <v>0.50892857142857151</v>
      </c>
      <c r="C109" s="4" t="s">
        <v>24</v>
      </c>
      <c r="D109" s="27"/>
    </row>
    <row r="110" spans="1:14" x14ac:dyDescent="0.25">
      <c r="A110" s="32" t="s">
        <v>7</v>
      </c>
      <c r="B110" s="13">
        <f>SUM(H99:H101)</f>
        <v>0.71250000000000002</v>
      </c>
      <c r="C110" s="4" t="s">
        <v>24</v>
      </c>
      <c r="D110" s="27" t="s">
        <v>137</v>
      </c>
    </row>
    <row r="111" spans="1:14" x14ac:dyDescent="0.25">
      <c r="A111" s="35" t="s">
        <v>138</v>
      </c>
      <c r="B111" s="22">
        <f>B104*VLOOKUP(B94,E94:H96,4)*2*10^-6</f>
        <v>5.1015000000000001E-3</v>
      </c>
      <c r="C111" s="10" t="s">
        <v>24</v>
      </c>
      <c r="D111" s="19" t="s">
        <v>140</v>
      </c>
    </row>
  </sheetData>
  <mergeCells count="6">
    <mergeCell ref="A92:D92"/>
    <mergeCell ref="A1:D1"/>
    <mergeCell ref="A15:D15"/>
    <mergeCell ref="A37:D37"/>
    <mergeCell ref="A60:D60"/>
    <mergeCell ref="A72:D72"/>
  </mergeCells>
  <dataValidations disablePrompts="1" count="5">
    <dataValidation type="list" allowBlank="1" showInputMessage="1" showErrorMessage="1" sqref="B94">
      <formula1>$E$94:$E$96</formula1>
    </dataValidation>
    <dataValidation type="list" allowBlank="1" showInputMessage="1" showErrorMessage="1" sqref="B39">
      <formula1>$F$39:$F$41</formula1>
    </dataValidation>
    <dataValidation type="list" allowBlank="1" showInputMessage="1" showErrorMessage="1" sqref="B40">
      <formula1>$E$39:$E$40</formula1>
    </dataValidation>
    <dataValidation type="list" allowBlank="1" showInputMessage="1" showErrorMessage="1" sqref="B17">
      <formula1>$E$16:$E$17</formula1>
    </dataValidation>
    <dataValidation type="list" allowBlank="1" showInputMessage="1" showErrorMessage="1" sqref="B3">
      <formula1>$E$3:$E$12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rowBreaks count="1" manualBreakCount="1">
    <brk id="36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ient_x0020_No. xmlns="7ab6c4a9-5f48-4538-a072-83b3ae642048" xsi:nil="true"/>
    <Websio_x0020_Document_x0020_Preview xmlns="7ab6c4a9-5f48-4538-a072-83b3ae642048">/ml/ML12262/_layouts/15/WebsioPreviewField/preview.aspx?ID=e9f545a0-490a-4a38-be0c-c9487950725f&amp;WebID=c121e6c5-b1a7-4789-b75e-e1f6623cb1b4&amp;SiteID=226f807a-7c12-4843-a321-197dc606eaf3</Websio_x0020_Document_x0020_Preview>
    <Rev_x0020_No. xmlns="7ab6c4a9-5f48-4538-a072-83b3ae642048">00</Rev_x0020_No.>
    <Project_x0020_No xmlns="7ab6c4a9-5f48-4538-a072-83b3ae642048">ML12262</Project_x0020_No>
    <Document_x0020_Type xmlns="7ab6c4a9-5f48-4538-a072-83b3ae642048">Reports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on-Technical" ma:contentTypeID="0x010100B05106EB501B9F47BD697FD3921FEC6302004C4248943A558D45B1C9C27F09F5346D" ma:contentTypeVersion="13" ma:contentTypeDescription="" ma:contentTypeScope="" ma:versionID="b5027493dd31cfe5dcb880c70d6791a6">
  <xsd:schema xmlns:xsd="http://www.w3.org/2001/XMLSchema" xmlns:xs="http://www.w3.org/2001/XMLSchema" xmlns:p="http://schemas.microsoft.com/office/2006/metadata/properties" xmlns:ns2="7ab6c4a9-5f48-4538-a072-83b3ae642048" targetNamespace="http://schemas.microsoft.com/office/2006/metadata/properties" ma:root="true" ma:fieldsID="db33023509c3f6bd756a50f958dbe192" ns2:_="">
    <xsd:import namespace="7ab6c4a9-5f48-4538-a072-83b3ae642048"/>
    <xsd:element name="properties">
      <xsd:complexType>
        <xsd:sequence>
          <xsd:element name="documentManagement">
            <xsd:complexType>
              <xsd:all>
                <xsd:element ref="ns2:Project_x0020_No" minOccurs="0"/>
                <xsd:element ref="ns2:Client_x0020_No." minOccurs="0"/>
                <xsd:element ref="ns2:Rev_x0020_No." minOccurs="0"/>
                <xsd:element ref="ns2:Websio_x0020_Document_x0020_Preview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6c4a9-5f48-4538-a072-83b3ae642048" elementFormDefault="qualified">
    <xsd:import namespace="http://schemas.microsoft.com/office/2006/documentManagement/types"/>
    <xsd:import namespace="http://schemas.microsoft.com/office/infopath/2007/PartnerControls"/>
    <xsd:element name="Project_x0020_No" ma:index="8" nillable="true" ma:displayName="Project No" ma:default="ML12262" ma:internalName="Project_x0020_No">
      <xsd:simpleType>
        <xsd:restriction base="dms:Text">
          <xsd:maxLength value="255"/>
        </xsd:restriction>
      </xsd:simpleType>
    </xsd:element>
    <xsd:element name="Client_x0020_No." ma:index="9" nillable="true" ma:displayName="Client No." ma:internalName="Client_x0020_No_x002e_">
      <xsd:simpleType>
        <xsd:restriction base="dms:Text">
          <xsd:maxLength value="255"/>
        </xsd:restriction>
      </xsd:simpleType>
    </xsd:element>
    <xsd:element name="Rev_x0020_No." ma:index="10" nillable="true" ma:displayName="Rev No." ma:internalName="Rev_x0020_No_x002e_">
      <xsd:simpleType>
        <xsd:restriction base="dms:Text">
          <xsd:maxLength value="255"/>
        </xsd:restriction>
      </xsd:simpleType>
    </xsd:element>
    <xsd:element name="Websio_x0020_Document_x0020_Preview" ma:index="11" nillable="true" ma:displayName="Websio Document Preview" ma:hidden="true" ma:internalName="Websio_x0020_Document_x0020_Preview">
      <xsd:simpleType>
        <xsd:restriction base="dms:Text"/>
      </xsd:simpleType>
    </xsd:element>
    <xsd:element name="Document_x0020_Type" ma:index="12" nillable="true" ma:displayName="Document Type" ma:format="Dropdown" ma:internalName="Document_x0020_Type">
      <xsd:simpleType>
        <xsd:restriction base="dms:Choice">
          <xsd:enumeration value="ControlledDrawing"/>
          <xsd:enumeration value="Proposal"/>
          <xsd:enumeration value="EOI"/>
          <xsd:enumeration value="Specifications"/>
          <xsd:enumeration value="Reports"/>
          <xsd:enumeration value="EngCalculations"/>
          <xsd:enumeration value="UncontrolledDrawings"/>
          <xsd:enumeration value="MechanicalServices"/>
          <xsd:enumeration value="Structural"/>
          <xsd:enumeration value="PandD"/>
          <xsd:enumeration value="Civil"/>
          <xsd:enumeration value="Electrical"/>
          <xsd:enumeration value="ShopDrawing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F6B27B-99E6-4967-BD70-5F22F1F666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7B9F31-5739-460E-8142-5F8E5D152B5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ab6c4a9-5f48-4538-a072-83b3ae642048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00B544-C997-42D9-BBF9-B0CF3A965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6c4a9-5f48-4538-a072-83b3ae6420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Element Template</dc:title>
  <dc:creator>Julius Dowson</dc:creator>
  <cp:lastModifiedBy>rkop</cp:lastModifiedBy>
  <cp:lastPrinted>2014-06-18T22:36:54Z</cp:lastPrinted>
  <dcterms:created xsi:type="dcterms:W3CDTF">2013-11-13T04:06:34Z</dcterms:created>
  <dcterms:modified xsi:type="dcterms:W3CDTF">2018-03-23T00:46:58Z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0x010100B05106EB501B9F47BD697FD3921FEC6302004C4248943A558D45B1C9C27F09F5346D</vt:lpwstr>
  </property>
</Properties>
</file>